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 ROBERTO\Desktop\Portal da Transparência\2016\Folha de Pagamento 2016\"/>
    </mc:Choice>
  </mc:AlternateContent>
  <bookViews>
    <workbookView xWindow="0" yWindow="0" windowWidth="24000" windowHeight="9510"/>
  </bookViews>
  <sheets>
    <sheet name="05-2016" sheetId="15" r:id="rId1"/>
  </sheets>
  <calcPr calcId="171027"/>
</workbook>
</file>

<file path=xl/calcChain.xml><?xml version="1.0" encoding="utf-8"?>
<calcChain xmlns="http://schemas.openxmlformats.org/spreadsheetml/2006/main">
  <c r="M60" i="15" l="1"/>
  <c r="M58" i="15"/>
  <c r="M56" i="15"/>
  <c r="M50" i="15"/>
  <c r="M40" i="15"/>
  <c r="M32" i="15"/>
  <c r="M30" i="15"/>
  <c r="M20" i="15"/>
  <c r="M18" i="15"/>
  <c r="M12" i="15"/>
  <c r="M10" i="15"/>
  <c r="M8" i="15"/>
  <c r="M6" i="15"/>
  <c r="G60" i="15" l="1"/>
  <c r="J60" i="15" s="1"/>
  <c r="G58" i="15"/>
  <c r="P56" i="15"/>
  <c r="G56" i="15"/>
  <c r="M54" i="15"/>
  <c r="P54" i="15" s="1"/>
  <c r="G54" i="15"/>
  <c r="J54" i="15" s="1"/>
  <c r="M52" i="15"/>
  <c r="P52" i="15" s="1"/>
  <c r="G52" i="15"/>
  <c r="G50" i="15"/>
  <c r="J50" i="15" s="1"/>
  <c r="G48" i="15"/>
  <c r="J48" i="15" s="1"/>
  <c r="M46" i="15"/>
  <c r="P46" i="15" s="1"/>
  <c r="G46" i="15"/>
  <c r="M44" i="15"/>
  <c r="P44" i="15" s="1"/>
  <c r="Q44" i="15" s="1"/>
  <c r="G42" i="15"/>
  <c r="J42" i="15" s="1"/>
  <c r="G40" i="15"/>
  <c r="J40" i="15" s="1"/>
  <c r="H38" i="15"/>
  <c r="G38" i="15"/>
  <c r="M36" i="15"/>
  <c r="P36" i="15" s="1"/>
  <c r="G36" i="15"/>
  <c r="M34" i="15"/>
  <c r="G34" i="15"/>
  <c r="J34" i="15" s="1"/>
  <c r="G32" i="15"/>
  <c r="J32" i="15" s="1"/>
  <c r="G30" i="15"/>
  <c r="G28" i="15"/>
  <c r="M26" i="15"/>
  <c r="P26" i="15" s="1"/>
  <c r="G26" i="15"/>
  <c r="E26" i="15"/>
  <c r="M24" i="15"/>
  <c r="G24" i="15"/>
  <c r="J24" i="15" s="1"/>
  <c r="Q24" i="15" s="1"/>
  <c r="M22" i="15"/>
  <c r="P22" i="15" s="1"/>
  <c r="G22" i="15"/>
  <c r="G20" i="15"/>
  <c r="P18" i="15"/>
  <c r="G18" i="15"/>
  <c r="J18" i="15" s="1"/>
  <c r="E18" i="15"/>
  <c r="M16" i="15"/>
  <c r="P16" i="15" s="1"/>
  <c r="G16" i="15"/>
  <c r="J16" i="15" s="1"/>
  <c r="M14" i="15"/>
  <c r="P14" i="15" s="1"/>
  <c r="G14" i="15"/>
  <c r="J14" i="15" s="1"/>
  <c r="H12" i="15"/>
  <c r="G12" i="15"/>
  <c r="E12" i="15"/>
  <c r="P10" i="15"/>
  <c r="G10" i="15"/>
  <c r="E10" i="15"/>
  <c r="G8" i="15"/>
  <c r="J8" i="15" s="1"/>
  <c r="G6" i="15"/>
  <c r="C6" i="15"/>
  <c r="P62" i="15"/>
  <c r="J62" i="15"/>
  <c r="P60" i="15"/>
  <c r="P58" i="15"/>
  <c r="J58" i="15"/>
  <c r="J56" i="15"/>
  <c r="J52" i="15"/>
  <c r="P50" i="15"/>
  <c r="M48" i="15"/>
  <c r="P48" i="15" s="1"/>
  <c r="J46" i="15"/>
  <c r="J44" i="15"/>
  <c r="M42" i="15"/>
  <c r="P42" i="15" s="1"/>
  <c r="P40" i="15"/>
  <c r="M38" i="15"/>
  <c r="P38" i="15" s="1"/>
  <c r="J36" i="15"/>
  <c r="P30" i="15"/>
  <c r="J30" i="15"/>
  <c r="P28" i="15"/>
  <c r="J28" i="15"/>
  <c r="P34" i="15"/>
  <c r="P32" i="15"/>
  <c r="P24" i="15"/>
  <c r="H22" i="15"/>
  <c r="P20" i="15"/>
  <c r="J20" i="15"/>
  <c r="P12" i="15"/>
  <c r="H10" i="15"/>
  <c r="P8" i="15"/>
  <c r="P6" i="15"/>
  <c r="J6" i="15"/>
  <c r="J22" i="15" l="1"/>
  <c r="Q22" i="15" s="1"/>
  <c r="J26" i="15"/>
  <c r="Q54" i="15"/>
  <c r="Q36" i="15"/>
  <c r="Q42" i="15"/>
  <c r="J38" i="15"/>
  <c r="Q38" i="15" s="1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6" i="15"/>
  <c r="Q8" i="15"/>
  <c r="Q16" i="15"/>
  <c r="Q52" i="15"/>
  <c r="Q10" i="15"/>
  <c r="Q30" i="15"/>
  <c r="Q48" i="15"/>
  <c r="Q56" i="15"/>
  <c r="Q26" i="15"/>
</calcChain>
</file>

<file path=xl/sharedStrings.xml><?xml version="1.0" encoding="utf-8"?>
<sst xmlns="http://schemas.openxmlformats.org/spreadsheetml/2006/main" count="77" uniqueCount="68">
  <si>
    <t>Salário</t>
  </si>
  <si>
    <t>Gratificação</t>
  </si>
  <si>
    <t>INSS</t>
  </si>
  <si>
    <t>Agda Baez Gonzales</t>
  </si>
  <si>
    <t>Analista Jurídico Sênior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</si>
  <si>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</si>
  <si>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</si>
  <si>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</si>
  <si>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</si>
  <si>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</si>
  <si>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</si>
  <si>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</si>
  <si>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</si>
  <si>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Alessandra Caldas Eweron Moura</t>
  </si>
  <si>
    <t>Analista Contábil Pleno</t>
  </si>
  <si>
    <t>Advogada</t>
  </si>
  <si>
    <t>Ana Maria Queiroz Souza</t>
  </si>
  <si>
    <t>Ana Paula Aguiar Nery Azevedo</t>
  </si>
  <si>
    <t>Assistente Administrativo Pleno</t>
  </si>
  <si>
    <t>Assessor Jurídico</t>
  </si>
  <si>
    <t>Danuse Silva Pedrosa</t>
  </si>
  <si>
    <t>Assistente Administrativo Júnior</t>
  </si>
  <si>
    <t>David Santana Sena</t>
  </si>
  <si>
    <t>Analista Administrativo Júnior</t>
  </si>
  <si>
    <t>Eliete Fernandes da Costa Vidal</t>
  </si>
  <si>
    <t>Assistente Financeiro Pleno</t>
  </si>
  <si>
    <t>Elizângela Cândida Soares</t>
  </si>
  <si>
    <t>Francis Araújo Borges</t>
  </si>
  <si>
    <t>Hélida Elianaier Souza Gerber</t>
  </si>
  <si>
    <t>Coordenadora Executiva</t>
  </si>
  <si>
    <t>João Batista da Silva Júnior</t>
  </si>
  <si>
    <t>Assessor de Informática</t>
  </si>
  <si>
    <t>José Sales Pessoa Júnior</t>
  </si>
  <si>
    <t>Laércio Carlos Tomaz</t>
  </si>
  <si>
    <t>Assessor de Imprensa</t>
  </si>
  <si>
    <t>Luciana do Nascimento Campelo</t>
  </si>
  <si>
    <t>Assistente Financeiro Júnior</t>
  </si>
  <si>
    <t>Luciene Maria Prado</t>
  </si>
  <si>
    <t>Supervisora Fiscal</t>
  </si>
  <si>
    <t>Marcos Roberto Botelho de Albuquerque</t>
  </si>
  <si>
    <t>Coordenador Financeiro/Contábil</t>
  </si>
  <si>
    <t>Marilúcia Lopes Araujo</t>
  </si>
  <si>
    <t>Assessora de Diretoria</t>
  </si>
  <si>
    <t>Regiane Melo da Trindade</t>
  </si>
  <si>
    <t>Recepcionista</t>
  </si>
  <si>
    <t>Vanessa dos Santos Arruda</t>
  </si>
  <si>
    <t>Vanusa de Oliveira Souza Lima</t>
  </si>
  <si>
    <t>Serviços Gerais</t>
  </si>
  <si>
    <t>Vera Lúcia Barroso</t>
  </si>
  <si>
    <t>Analista Financeiro Sênior</t>
  </si>
  <si>
    <t>Victor Ferreira Cardoso Dias</t>
  </si>
  <si>
    <t>Faltas</t>
  </si>
  <si>
    <t>Descanso Semanal Remunerado</t>
  </si>
  <si>
    <t>Ananda Spindola Bastos</t>
  </si>
  <si>
    <t>Arquivista</t>
  </si>
  <si>
    <t>Diárias</t>
  </si>
  <si>
    <t>CONSELHO NACIONAL DE TÉCNICOS EM RADIOLOGIA</t>
  </si>
  <si>
    <t>IRRF</t>
  </si>
  <si>
    <t>Lorena Barbosa Vieira</t>
  </si>
  <si>
    <t>Jõao Raimundo Alves dos Santos</t>
  </si>
  <si>
    <t>Assessor Educacional</t>
  </si>
  <si>
    <t>Analista Administrativo e Eventos</t>
  </si>
  <si>
    <t>Victor Alves Martins</t>
  </si>
  <si>
    <t>ANO:2016</t>
  </si>
  <si>
    <t>Jonathas da Silva Oliveira</t>
  </si>
  <si>
    <t>Romário Silva Costa</t>
  </si>
  <si>
    <t>Marcelo Pinto da Silva</t>
  </si>
  <si>
    <t>MÊS: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</si>
</sst>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3" fillId="0" borderId="0" xfId="0" applyFont="1" applyBorder="1"/>
    <xf numFmtId="0" fontId="5" fillId="0" borderId="2" xfId="0" applyFont="1" applyBorder="1"/>
    <xf numFmtId="0" fontId="2" fillId="0" borderId="4" xfId="0" applyFont="1" applyBorder="1"/>
    <xf numFmtId="0" fontId="5" fillId="0" borderId="7" xfId="0" applyFont="1" applyBorder="1"/>
    <xf numFmtId="0" fontId="0" fillId="0" borderId="7" xfId="0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49" workbookViewId="0">
      <selection activeCell="L1" sqref="L1:L1048576"/>
    </sheetView>
  </sheetViews>
  <sheetFormatPr defaultRowHeight="15" x14ac:dyDescent="0.25"/>
  <cols>
    <col min="2" max="2" width="23.85546875" customWidth="1"/>
    <col min="3" max="17" width="10.85546875" customWidth="1"/>
    <col min="18" max="18" width="2" customWidth="1"/>
  </cols>
  <sheetData>
    <row r="1" spans="1:21" x14ac:dyDescent="0.25">
      <c r="A1" s="2" t="s">
        <v>56</v>
      </c>
      <c r="B1" s="2"/>
      <c r="C1" s="2"/>
      <c r="D1" s="2"/>
      <c r="E1" s="1"/>
      <c r="F1" s="2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 t="s">
        <v>67</v>
      </c>
      <c r="B2" s="2" t="s">
        <v>63</v>
      </c>
      <c r="C2" s="2"/>
      <c r="D2" s="2"/>
      <c r="E2" s="1"/>
      <c r="F2" s="2"/>
      <c r="G2" s="1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1" ht="15" customHeight="1" thickTop="1" x14ac:dyDescent="0.25">
      <c r="A4" s="19" t="s">
        <v>12</v>
      </c>
      <c r="B4" s="22"/>
      <c r="C4" s="16" t="s">
        <v>0</v>
      </c>
      <c r="D4" s="20" t="s">
        <v>52</v>
      </c>
      <c r="E4" s="16" t="s">
        <v>6</v>
      </c>
      <c r="F4" s="16" t="s">
        <v>5</v>
      </c>
      <c r="G4" s="14" t="s">
        <v>7</v>
      </c>
      <c r="H4" s="19" t="s">
        <v>1</v>
      </c>
      <c r="I4" s="16" t="s">
        <v>55</v>
      </c>
      <c r="J4" s="20" t="s">
        <v>8</v>
      </c>
      <c r="K4" s="16" t="s">
        <v>2</v>
      </c>
      <c r="L4" s="16" t="s">
        <v>57</v>
      </c>
      <c r="M4" s="14" t="s">
        <v>9</v>
      </c>
      <c r="N4" s="16" t="s">
        <v>51</v>
      </c>
      <c r="O4" s="16" t="s">
        <v>55</v>
      </c>
      <c r="P4" s="14" t="s">
        <v>10</v>
      </c>
      <c r="Q4" s="16" t="s">
        <v>11</v>
      </c>
    </row>
    <row r="5" spans="1:21" ht="36" customHeight="1" thickBot="1" x14ac:dyDescent="0.3">
      <c r="A5" s="18"/>
      <c r="B5" s="23"/>
      <c r="C5" s="17"/>
      <c r="D5" s="21"/>
      <c r="E5" s="17"/>
      <c r="F5" s="17"/>
      <c r="G5" s="15"/>
      <c r="H5" s="18"/>
      <c r="I5" s="17"/>
      <c r="J5" s="21"/>
      <c r="K5" s="17"/>
      <c r="L5" s="17"/>
      <c r="M5" s="15"/>
      <c r="N5" s="17"/>
      <c r="O5" s="17"/>
      <c r="P5" s="15"/>
      <c r="Q5" s="18"/>
      <c r="R5" s="9"/>
    </row>
    <row r="6" spans="1:21" ht="15.75" thickTop="1" x14ac:dyDescent="0.25">
      <c r="A6" s="6" t="s">
        <v>3</v>
      </c>
      <c r="B6" s="3"/>
      <c r="C6" s="10">
        <f>7326.49+2050.46</f>
        <v>9376.9500000000007</v>
      </c>
      <c r="D6" s="10">
        <v>73.739999999999995</v>
      </c>
      <c r="E6" s="10">
        <v>307.24</v>
      </c>
      <c r="F6" s="10">
        <v>1172.24</v>
      </c>
      <c r="G6" s="10">
        <f>880+138+643.12</f>
        <v>1661.12</v>
      </c>
      <c r="H6" s="10">
        <v>400</v>
      </c>
      <c r="I6" s="10">
        <v>250</v>
      </c>
      <c r="J6" s="10">
        <f>SUM(C6:I6)</f>
        <v>13241.29</v>
      </c>
      <c r="K6" s="10">
        <v>570.88</v>
      </c>
      <c r="L6" s="10">
        <v>2034.12</v>
      </c>
      <c r="M6" s="10">
        <f>1+643.12+2930.6</f>
        <v>3574.72</v>
      </c>
      <c r="N6" s="10">
        <v>11.6</v>
      </c>
      <c r="O6" s="10">
        <v>250</v>
      </c>
      <c r="P6" s="10">
        <f>SUM(K6:O6)</f>
        <v>6441.32</v>
      </c>
      <c r="Q6" s="12">
        <f>J6-P6</f>
        <v>6799.9700000000012</v>
      </c>
      <c r="R6" s="9"/>
    </row>
    <row r="7" spans="1:21" ht="15.75" thickBot="1" x14ac:dyDescent="0.3">
      <c r="A7" s="7" t="s">
        <v>4</v>
      </c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3"/>
      <c r="R7" s="9"/>
    </row>
    <row r="8" spans="1:21" ht="15.75" thickTop="1" x14ac:dyDescent="0.25">
      <c r="A8" s="8" t="s">
        <v>13</v>
      </c>
      <c r="B8" s="3"/>
      <c r="C8" s="10">
        <v>4492.01</v>
      </c>
      <c r="D8" s="10">
        <v>0</v>
      </c>
      <c r="E8" s="10">
        <v>0</v>
      </c>
      <c r="F8" s="10">
        <v>269.52</v>
      </c>
      <c r="G8" s="10">
        <f>880+275+550.44</f>
        <v>1705.44</v>
      </c>
      <c r="H8" s="10">
        <v>0</v>
      </c>
      <c r="I8" s="10">
        <v>0</v>
      </c>
      <c r="J8" s="10">
        <f>SUM(C8:I8)</f>
        <v>6466.9700000000012</v>
      </c>
      <c r="K8" s="10">
        <v>520.89</v>
      </c>
      <c r="L8" s="10">
        <v>226.8</v>
      </c>
      <c r="M8" s="10">
        <f>1+550.44+1796.8</f>
        <v>2348.2399999999998</v>
      </c>
      <c r="N8" s="10">
        <v>26.2</v>
      </c>
      <c r="O8" s="10">
        <v>0</v>
      </c>
      <c r="P8" s="10">
        <f>SUM(K8:O8)</f>
        <v>3122.1299999999997</v>
      </c>
      <c r="Q8" s="12">
        <f>J8-P8</f>
        <v>3344.8400000000015</v>
      </c>
      <c r="R8" s="9"/>
    </row>
    <row r="9" spans="1:21" ht="15.75" thickBot="1" x14ac:dyDescent="0.3">
      <c r="A9" s="7" t="s">
        <v>14</v>
      </c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3"/>
      <c r="R9" s="9"/>
    </row>
    <row r="10" spans="1:21" ht="15.75" thickTop="1" x14ac:dyDescent="0.25">
      <c r="A10" s="8" t="s">
        <v>16</v>
      </c>
      <c r="B10" s="3"/>
      <c r="C10" s="10">
        <v>3198.17</v>
      </c>
      <c r="D10" s="10">
        <v>65.11</v>
      </c>
      <c r="E10" s="10">
        <f>6.34+264.95</f>
        <v>271.28999999999996</v>
      </c>
      <c r="F10" s="10">
        <v>479.73</v>
      </c>
      <c r="G10" s="10">
        <f>880+338.8+550.44</f>
        <v>1769.24</v>
      </c>
      <c r="H10" s="10">
        <f>550+250</f>
        <v>800</v>
      </c>
      <c r="I10" s="10">
        <v>0</v>
      </c>
      <c r="J10" s="10">
        <f>SUM(C10:I10)</f>
        <v>6583.54</v>
      </c>
      <c r="K10" s="10">
        <v>523.89</v>
      </c>
      <c r="L10" s="10">
        <v>274.92</v>
      </c>
      <c r="M10" s="10">
        <f>1+550.44+1279.27</f>
        <v>1830.71</v>
      </c>
      <c r="N10" s="10">
        <v>51.7</v>
      </c>
      <c r="O10" s="10">
        <v>0</v>
      </c>
      <c r="P10" s="10">
        <f>SUM(K10:O10)</f>
        <v>2681.22</v>
      </c>
      <c r="Q10" s="12">
        <f>J10-P10</f>
        <v>3902.32</v>
      </c>
      <c r="R10" s="9"/>
    </row>
    <row r="11" spans="1:21" ht="15.75" thickBot="1" x14ac:dyDescent="0.3">
      <c r="A11" s="7" t="s">
        <v>18</v>
      </c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3"/>
      <c r="R11" s="9"/>
    </row>
    <row r="12" spans="1:21" ht="15.75" thickTop="1" x14ac:dyDescent="0.25">
      <c r="A12" s="8" t="s">
        <v>17</v>
      </c>
      <c r="B12" s="3"/>
      <c r="C12" s="10">
        <v>3198.17</v>
      </c>
      <c r="D12" s="10">
        <v>97.09</v>
      </c>
      <c r="E12" s="10">
        <f>81.06+323.48</f>
        <v>404.54</v>
      </c>
      <c r="F12" s="10">
        <v>223.87</v>
      </c>
      <c r="G12" s="10">
        <f>880+308+447.1</f>
        <v>1635.1</v>
      </c>
      <c r="H12" s="10">
        <f>500+550+750</f>
        <v>1800</v>
      </c>
      <c r="I12" s="10">
        <v>0</v>
      </c>
      <c r="J12" s="10">
        <f>SUM(C12:I12)</f>
        <v>7358.77</v>
      </c>
      <c r="K12" s="10">
        <v>570.88</v>
      </c>
      <c r="L12" s="10">
        <v>381.6</v>
      </c>
      <c r="M12" s="10">
        <f>1+447.1+1134.5</f>
        <v>1582.6</v>
      </c>
      <c r="N12" s="10">
        <v>60.77</v>
      </c>
      <c r="O12" s="10">
        <v>0</v>
      </c>
      <c r="P12" s="10">
        <f>SUM(K12:O12)</f>
        <v>2595.85</v>
      </c>
      <c r="Q12" s="12">
        <f>J12-P12</f>
        <v>4762.92</v>
      </c>
      <c r="R12" s="9"/>
    </row>
    <row r="13" spans="1:21" ht="15.75" thickBot="1" x14ac:dyDescent="0.3">
      <c r="A13" s="7" t="s">
        <v>18</v>
      </c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3"/>
      <c r="R13" s="9"/>
    </row>
    <row r="14" spans="1:21" ht="15.75" thickTop="1" x14ac:dyDescent="0.25">
      <c r="A14" s="8" t="s">
        <v>53</v>
      </c>
      <c r="B14" s="3"/>
      <c r="C14" s="10">
        <v>4716.76</v>
      </c>
      <c r="D14" s="10">
        <v>0</v>
      </c>
      <c r="E14" s="10">
        <v>0</v>
      </c>
      <c r="F14" s="10">
        <v>141.5</v>
      </c>
      <c r="G14" s="10">
        <f>880+176+328.17</f>
        <v>1384.17</v>
      </c>
      <c r="H14" s="10">
        <v>0</v>
      </c>
      <c r="I14" s="10">
        <v>0</v>
      </c>
      <c r="J14" s="10">
        <f>SUM(C14:I14)</f>
        <v>6242.43</v>
      </c>
      <c r="K14" s="10">
        <v>534.41</v>
      </c>
      <c r="L14" s="10">
        <v>336.74</v>
      </c>
      <c r="M14" s="10">
        <f>1+328.17</f>
        <v>329.17</v>
      </c>
      <c r="N14" s="10">
        <v>0</v>
      </c>
      <c r="O14" s="10">
        <v>0</v>
      </c>
      <c r="P14" s="10">
        <f>SUM(K14:O14)</f>
        <v>1200.32</v>
      </c>
      <c r="Q14" s="12">
        <f>J14-P14</f>
        <v>5042.1100000000006</v>
      </c>
      <c r="R14" s="9"/>
    </row>
    <row r="15" spans="1:21" ht="15.75" thickBot="1" x14ac:dyDescent="0.3">
      <c r="A15" s="7" t="s">
        <v>54</v>
      </c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3"/>
      <c r="R15" s="9"/>
    </row>
    <row r="16" spans="1:21" ht="15.75" thickTop="1" x14ac:dyDescent="0.25">
      <c r="A16" s="8" t="s">
        <v>20</v>
      </c>
      <c r="B16" s="3"/>
      <c r="C16" s="10">
        <v>1313.2</v>
      </c>
      <c r="D16" s="10">
        <v>0</v>
      </c>
      <c r="E16" s="10">
        <v>0</v>
      </c>
      <c r="F16" s="10">
        <v>39.4</v>
      </c>
      <c r="G16" s="10">
        <f>880+308+401.1</f>
        <v>1589.1</v>
      </c>
      <c r="H16" s="10">
        <v>200</v>
      </c>
      <c r="I16" s="10">
        <v>0</v>
      </c>
      <c r="J16" s="10">
        <f>SUM(C16:I16)</f>
        <v>3141.7</v>
      </c>
      <c r="K16" s="10">
        <v>209.27</v>
      </c>
      <c r="L16" s="10">
        <v>0</v>
      </c>
      <c r="M16" s="10">
        <f>1+401.1</f>
        <v>402.1</v>
      </c>
      <c r="N16" s="10">
        <v>16.420000000000002</v>
      </c>
      <c r="O16" s="10">
        <v>0</v>
      </c>
      <c r="P16" s="10">
        <f>SUM(K16:O16)</f>
        <v>627.79</v>
      </c>
      <c r="Q16" s="12">
        <f>J16-P16</f>
        <v>2513.91</v>
      </c>
      <c r="R16" s="9"/>
    </row>
    <row r="17" spans="1:18" ht="15.75" thickBot="1" x14ac:dyDescent="0.3">
      <c r="A17" s="7" t="s">
        <v>21</v>
      </c>
      <c r="B17" s="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3"/>
      <c r="R17" s="9"/>
    </row>
    <row r="18" spans="1:18" ht="15.75" thickTop="1" x14ac:dyDescent="0.25">
      <c r="A18" s="8" t="s">
        <v>22</v>
      </c>
      <c r="B18" s="3"/>
      <c r="C18" s="10">
        <v>4716.63</v>
      </c>
      <c r="D18" s="10">
        <v>193.81</v>
      </c>
      <c r="E18" s="10">
        <f>345.28+462.28</f>
        <v>807.56</v>
      </c>
      <c r="F18" s="10">
        <v>990.49</v>
      </c>
      <c r="G18" s="10">
        <f>880+333.5+465.64</f>
        <v>1679.1399999999999</v>
      </c>
      <c r="H18" s="10">
        <v>0</v>
      </c>
      <c r="I18" s="10">
        <v>0</v>
      </c>
      <c r="J18" s="10">
        <f>SUM(C18:I18)</f>
        <v>8387.6299999999992</v>
      </c>
      <c r="K18" s="10">
        <v>570.88</v>
      </c>
      <c r="L18" s="10">
        <v>655.59</v>
      </c>
      <c r="M18" s="10">
        <f>1+465.64+1886.65</f>
        <v>2353.29</v>
      </c>
      <c r="N18" s="10">
        <v>23.58</v>
      </c>
      <c r="O18" s="10">
        <v>0</v>
      </c>
      <c r="P18" s="10">
        <f>SUM(K18:O18)</f>
        <v>3603.34</v>
      </c>
      <c r="Q18" s="12">
        <f>J18-P18</f>
        <v>4784.2899999999991</v>
      </c>
      <c r="R18" s="9"/>
    </row>
    <row r="19" spans="1:18" ht="15.75" thickBot="1" x14ac:dyDescent="0.3">
      <c r="A19" s="7" t="s">
        <v>23</v>
      </c>
      <c r="B19" s="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3"/>
      <c r="R19" s="9"/>
    </row>
    <row r="20" spans="1:18" ht="15.75" thickTop="1" x14ac:dyDescent="0.25">
      <c r="A20" s="8" t="s">
        <v>24</v>
      </c>
      <c r="B20" s="3"/>
      <c r="C20" s="10">
        <v>3486</v>
      </c>
      <c r="D20" s="10">
        <v>0</v>
      </c>
      <c r="E20" s="10">
        <v>0</v>
      </c>
      <c r="F20" s="10">
        <v>104.58</v>
      </c>
      <c r="G20" s="10">
        <f>880+308+401.1</f>
        <v>1589.1</v>
      </c>
      <c r="H20" s="10">
        <v>0</v>
      </c>
      <c r="I20" s="10">
        <v>0</v>
      </c>
      <c r="J20" s="10">
        <f>SUM(C20:I20)</f>
        <v>5179.68</v>
      </c>
      <c r="K20" s="10">
        <v>394.39</v>
      </c>
      <c r="L20" s="10">
        <v>68.08</v>
      </c>
      <c r="M20" s="10">
        <f>1+401.1+1394.4</f>
        <v>1796.5</v>
      </c>
      <c r="N20" s="10">
        <v>5.23</v>
      </c>
      <c r="O20" s="10">
        <v>0</v>
      </c>
      <c r="P20" s="10">
        <f>SUM(K20:O20)</f>
        <v>2264.1999999999998</v>
      </c>
      <c r="Q20" s="12">
        <f>J20-P20</f>
        <v>2915.4800000000005</v>
      </c>
      <c r="R20" s="9"/>
    </row>
    <row r="21" spans="1:18" ht="15.75" thickBot="1" x14ac:dyDescent="0.3">
      <c r="A21" s="7" t="s">
        <v>25</v>
      </c>
      <c r="B21" s="4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3"/>
      <c r="R21" s="9"/>
    </row>
    <row r="22" spans="1:18" ht="15.75" thickTop="1" x14ac:dyDescent="0.25">
      <c r="A22" s="8" t="s">
        <v>26</v>
      </c>
      <c r="B22" s="3"/>
      <c r="C22" s="10">
        <v>2839.06</v>
      </c>
      <c r="D22" s="10">
        <v>0</v>
      </c>
      <c r="E22" s="10">
        <v>0</v>
      </c>
      <c r="F22" s="10">
        <v>0</v>
      </c>
      <c r="G22" s="10">
        <f>880+132+512.59</f>
        <v>1524.5900000000001</v>
      </c>
      <c r="H22" s="10">
        <f>550+250</f>
        <v>800</v>
      </c>
      <c r="I22" s="10">
        <v>0</v>
      </c>
      <c r="J22" s="10">
        <f>SUM(C22:I22)</f>
        <v>5163.6499999999996</v>
      </c>
      <c r="K22" s="10">
        <v>400.3</v>
      </c>
      <c r="L22" s="10">
        <v>131.01</v>
      </c>
      <c r="M22" s="10">
        <f>1+512.59</f>
        <v>513.59</v>
      </c>
      <c r="N22" s="10">
        <v>0</v>
      </c>
      <c r="O22" s="10">
        <v>0</v>
      </c>
      <c r="P22" s="10">
        <f>SUM(K22:O22)</f>
        <v>1044.9000000000001</v>
      </c>
      <c r="Q22" s="12">
        <f>J22-P22</f>
        <v>4118.75</v>
      </c>
      <c r="R22" s="9"/>
    </row>
    <row r="23" spans="1:18" ht="15.75" thickBot="1" x14ac:dyDescent="0.3">
      <c r="A23" s="7" t="s">
        <v>42</v>
      </c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3"/>
      <c r="R23" s="9"/>
    </row>
    <row r="24" spans="1:18" ht="15.75" thickTop="1" x14ac:dyDescent="0.25">
      <c r="A24" s="8" t="s">
        <v>27</v>
      </c>
      <c r="B24" s="3"/>
      <c r="C24" s="10">
        <v>1575.84</v>
      </c>
      <c r="D24" s="10">
        <v>0</v>
      </c>
      <c r="E24" s="10">
        <v>0</v>
      </c>
      <c r="F24" s="10">
        <v>47.28</v>
      </c>
      <c r="G24" s="10">
        <f>880+132+443.8</f>
        <v>1455.8</v>
      </c>
      <c r="H24" s="10">
        <v>0</v>
      </c>
      <c r="I24" s="10">
        <v>0</v>
      </c>
      <c r="J24" s="10">
        <f>SUM(C24:I24)</f>
        <v>3078.92</v>
      </c>
      <c r="K24" s="10">
        <v>144.68</v>
      </c>
      <c r="L24" s="10">
        <v>0</v>
      </c>
      <c r="M24" s="10">
        <f>1+443.8</f>
        <v>444.8</v>
      </c>
      <c r="N24" s="10">
        <v>15.54</v>
      </c>
      <c r="O24" s="10">
        <v>0</v>
      </c>
      <c r="P24" s="10">
        <f>SUM(K24:O24)</f>
        <v>605.02</v>
      </c>
      <c r="Q24" s="12">
        <f>J24-P24</f>
        <v>2473.9</v>
      </c>
      <c r="R24" s="9"/>
    </row>
    <row r="25" spans="1:18" ht="15.75" thickBot="1" x14ac:dyDescent="0.3">
      <c r="A25" s="7" t="s">
        <v>21</v>
      </c>
      <c r="B25" s="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3"/>
      <c r="R25" s="9"/>
    </row>
    <row r="26" spans="1:18" ht="15.75" thickTop="1" x14ac:dyDescent="0.25">
      <c r="A26" s="8" t="s">
        <v>28</v>
      </c>
      <c r="B26" s="3"/>
      <c r="C26" s="10">
        <v>6504.62</v>
      </c>
      <c r="D26" s="10">
        <v>302.81</v>
      </c>
      <c r="E26" s="10">
        <f>465.85+795.87</f>
        <v>1261.72</v>
      </c>
      <c r="F26" s="10">
        <v>1105.79</v>
      </c>
      <c r="G26" s="10">
        <f>880+184+550.44</f>
        <v>1614.44</v>
      </c>
      <c r="H26" s="10">
        <v>1200</v>
      </c>
      <c r="I26" s="10">
        <v>0</v>
      </c>
      <c r="J26" s="10">
        <f>SUM(C26:I26)</f>
        <v>11989.380000000001</v>
      </c>
      <c r="K26" s="10">
        <v>570.88</v>
      </c>
      <c r="L26" s="10">
        <v>1824.52</v>
      </c>
      <c r="M26" s="10">
        <f>1+550.44</f>
        <v>551.44000000000005</v>
      </c>
      <c r="N26" s="10">
        <v>8.1300000000000008</v>
      </c>
      <c r="O26" s="10">
        <v>0</v>
      </c>
      <c r="P26" s="10">
        <f>SUM(K26:O26)</f>
        <v>2954.9700000000003</v>
      </c>
      <c r="Q26" s="12">
        <f>J26-P26</f>
        <v>9034.41</v>
      </c>
      <c r="R26" s="9"/>
    </row>
    <row r="27" spans="1:18" ht="15.75" thickBot="1" x14ac:dyDescent="0.3">
      <c r="A27" s="7" t="s">
        <v>29</v>
      </c>
      <c r="B27" s="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3"/>
      <c r="R27" s="9"/>
    </row>
    <row r="28" spans="1:18" ht="15.75" thickTop="1" x14ac:dyDescent="0.25">
      <c r="A28" s="8" t="s">
        <v>64</v>
      </c>
      <c r="B28" s="3"/>
      <c r="C28" s="10">
        <v>2819.03</v>
      </c>
      <c r="D28" s="10">
        <v>0</v>
      </c>
      <c r="E28" s="10">
        <v>0</v>
      </c>
      <c r="F28" s="10">
        <v>0</v>
      </c>
      <c r="G28" s="10">
        <f>880+176</f>
        <v>1056</v>
      </c>
      <c r="H28" s="10">
        <v>0</v>
      </c>
      <c r="I28" s="10">
        <v>0</v>
      </c>
      <c r="J28" s="10">
        <f>SUM(C28:I28)</f>
        <v>3875.03</v>
      </c>
      <c r="K28" s="10">
        <v>310.08999999999997</v>
      </c>
      <c r="L28" s="10">
        <v>45.37</v>
      </c>
      <c r="M28" s="10">
        <v>1</v>
      </c>
      <c r="N28" s="10">
        <v>0</v>
      </c>
      <c r="O28" s="10">
        <v>0</v>
      </c>
      <c r="P28" s="10">
        <f>SUM(K28:O28)</f>
        <v>356.46</v>
      </c>
      <c r="Q28" s="12">
        <f>J28-P28</f>
        <v>3518.57</v>
      </c>
      <c r="R28" s="9"/>
    </row>
    <row r="29" spans="1:18" ht="15.75" thickBot="1" x14ac:dyDescent="0.3">
      <c r="A29" s="7" t="s">
        <v>34</v>
      </c>
      <c r="B29" s="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3"/>
      <c r="R29" s="9"/>
    </row>
    <row r="30" spans="1:18" ht="15.75" thickTop="1" x14ac:dyDescent="0.25">
      <c r="A30" s="8" t="s">
        <v>32</v>
      </c>
      <c r="B30" s="3"/>
      <c r="C30" s="10">
        <v>4542.5</v>
      </c>
      <c r="D30" s="10">
        <v>0</v>
      </c>
      <c r="E30" s="10">
        <v>0</v>
      </c>
      <c r="F30" s="10">
        <v>0</v>
      </c>
      <c r="G30" s="10">
        <f>880+176+643.12</f>
        <v>1699.12</v>
      </c>
      <c r="H30" s="10">
        <v>0</v>
      </c>
      <c r="I30" s="10">
        <v>0</v>
      </c>
      <c r="J30" s="10">
        <f>SUM(C30:I30)</f>
        <v>6241.62</v>
      </c>
      <c r="K30" s="10">
        <v>499.68</v>
      </c>
      <c r="L30" s="10">
        <v>230.85</v>
      </c>
      <c r="M30" s="10">
        <f>1+643.12+1400</f>
        <v>2044.12</v>
      </c>
      <c r="N30" s="10">
        <v>0</v>
      </c>
      <c r="O30" s="10">
        <v>0</v>
      </c>
      <c r="P30" s="10">
        <f>SUM(K30:O30)</f>
        <v>2774.6499999999996</v>
      </c>
      <c r="Q30" s="12">
        <f>J30-P30</f>
        <v>3466.9700000000003</v>
      </c>
      <c r="R30" s="9"/>
    </row>
    <row r="31" spans="1:18" ht="15.75" thickBot="1" x14ac:dyDescent="0.3">
      <c r="A31" s="7" t="s">
        <v>31</v>
      </c>
      <c r="B31" s="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3"/>
      <c r="R31" s="9"/>
    </row>
    <row r="32" spans="1:18" ht="15.75" thickTop="1" x14ac:dyDescent="0.25">
      <c r="A32" s="8" t="s">
        <v>30</v>
      </c>
      <c r="B32" s="3"/>
      <c r="C32" s="10">
        <v>5678.13</v>
      </c>
      <c r="D32" s="10">
        <v>0</v>
      </c>
      <c r="E32" s="10">
        <v>0</v>
      </c>
      <c r="F32" s="10">
        <v>0</v>
      </c>
      <c r="G32" s="10">
        <f>880+176</f>
        <v>1056</v>
      </c>
      <c r="H32" s="10">
        <v>200</v>
      </c>
      <c r="I32" s="10">
        <v>0</v>
      </c>
      <c r="J32" s="10">
        <f>SUM(C32:I32)</f>
        <v>6934.13</v>
      </c>
      <c r="K32" s="10">
        <v>570.88</v>
      </c>
      <c r="L32" s="10">
        <v>485.86</v>
      </c>
      <c r="M32" s="10">
        <f>1+400</f>
        <v>401</v>
      </c>
      <c r="N32" s="10">
        <v>0</v>
      </c>
      <c r="O32" s="10">
        <v>0</v>
      </c>
      <c r="P32" s="10">
        <f>SUM(K32:O32)</f>
        <v>1457.74</v>
      </c>
      <c r="Q32" s="12">
        <f>J32-P32</f>
        <v>5476.39</v>
      </c>
      <c r="R32" s="9"/>
    </row>
    <row r="33" spans="1:18" ht="15.75" thickBot="1" x14ac:dyDescent="0.3">
      <c r="A33" s="7" t="s">
        <v>31</v>
      </c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3"/>
      <c r="R33" s="9"/>
    </row>
    <row r="34" spans="1:18" ht="15.75" thickTop="1" x14ac:dyDescent="0.25">
      <c r="A34" s="8" t="s">
        <v>59</v>
      </c>
      <c r="B34" s="3"/>
      <c r="C34" s="10">
        <v>5693.3</v>
      </c>
      <c r="D34" s="10">
        <v>0</v>
      </c>
      <c r="E34" s="10">
        <v>0</v>
      </c>
      <c r="F34" s="10">
        <v>0</v>
      </c>
      <c r="G34" s="10">
        <f>440+88+765.06</f>
        <v>1293.06</v>
      </c>
      <c r="H34" s="10">
        <v>0</v>
      </c>
      <c r="I34" s="10">
        <v>0</v>
      </c>
      <c r="J34" s="10">
        <f>SUM(C34:I34)</f>
        <v>6986.3600000000006</v>
      </c>
      <c r="K34" s="10">
        <v>570.88</v>
      </c>
      <c r="L34" s="10">
        <v>435.03</v>
      </c>
      <c r="M34" s="10">
        <f>1+765.06</f>
        <v>766.06</v>
      </c>
      <c r="N34" s="10">
        <v>0</v>
      </c>
      <c r="O34" s="10">
        <v>0</v>
      </c>
      <c r="P34" s="10">
        <f>SUM(K34:O34)</f>
        <v>1771.9699999999998</v>
      </c>
      <c r="Q34" s="12">
        <f>J34-P34</f>
        <v>5214.3900000000012</v>
      </c>
      <c r="R34" s="9"/>
    </row>
    <row r="35" spans="1:18" ht="15.75" thickBot="1" x14ac:dyDescent="0.3">
      <c r="A35" s="7" t="s">
        <v>60</v>
      </c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3"/>
      <c r="R35" s="9"/>
    </row>
    <row r="36" spans="1:18" ht="15.75" thickTop="1" x14ac:dyDescent="0.25">
      <c r="A36" s="8" t="s">
        <v>33</v>
      </c>
      <c r="B36" s="3"/>
      <c r="C36" s="10">
        <v>6387.89</v>
      </c>
      <c r="D36" s="10">
        <v>0</v>
      </c>
      <c r="E36" s="10">
        <v>0</v>
      </c>
      <c r="F36" s="10">
        <v>0</v>
      </c>
      <c r="G36" s="10">
        <f>440+66+401.1</f>
        <v>907.1</v>
      </c>
      <c r="H36" s="10">
        <v>0</v>
      </c>
      <c r="I36" s="10">
        <v>0</v>
      </c>
      <c r="J36" s="10">
        <f>SUM(C36:I36)</f>
        <v>7294.9900000000007</v>
      </c>
      <c r="K36" s="10">
        <v>570.88</v>
      </c>
      <c r="L36" s="10">
        <v>730.32</v>
      </c>
      <c r="M36" s="10">
        <f>1+401.1</f>
        <v>402.1</v>
      </c>
      <c r="N36" s="10">
        <v>0</v>
      </c>
      <c r="O36" s="10">
        <v>0</v>
      </c>
      <c r="P36" s="10">
        <f>SUM(K36:O36)</f>
        <v>1703.3000000000002</v>
      </c>
      <c r="Q36" s="12">
        <f>J36-P36</f>
        <v>5591.6900000000005</v>
      </c>
      <c r="R36" s="9"/>
    </row>
    <row r="37" spans="1:18" ht="15.75" thickBot="1" x14ac:dyDescent="0.3">
      <c r="A37" s="7" t="s">
        <v>34</v>
      </c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3"/>
      <c r="R37" s="9"/>
    </row>
    <row r="38" spans="1:18" ht="15.75" thickTop="1" x14ac:dyDescent="0.25">
      <c r="A38" s="8" t="s">
        <v>58</v>
      </c>
      <c r="B38" s="3"/>
      <c r="C38" s="10">
        <v>1313.2</v>
      </c>
      <c r="D38" s="10">
        <v>0</v>
      </c>
      <c r="E38" s="10">
        <v>0</v>
      </c>
      <c r="F38" s="10">
        <v>26.26</v>
      </c>
      <c r="G38" s="10">
        <f>880+138+328.17</f>
        <v>1346.17</v>
      </c>
      <c r="H38" s="10">
        <f>500+275</f>
        <v>775</v>
      </c>
      <c r="I38" s="10">
        <v>0</v>
      </c>
      <c r="J38" s="10">
        <f>SUM(C38:I38)</f>
        <v>3460.63</v>
      </c>
      <c r="K38" s="10">
        <v>282.13</v>
      </c>
      <c r="L38" s="10">
        <v>0</v>
      </c>
      <c r="M38" s="10">
        <f>1+328.17</f>
        <v>329.17</v>
      </c>
      <c r="N38" s="10">
        <v>20.350000000000001</v>
      </c>
      <c r="O38" s="10">
        <v>0</v>
      </c>
      <c r="P38" s="10">
        <f>SUM(K38:O38)</f>
        <v>631.65</v>
      </c>
      <c r="Q38" s="12">
        <f>J38-P38</f>
        <v>2828.98</v>
      </c>
      <c r="R38" s="9"/>
    </row>
    <row r="39" spans="1:18" ht="15.75" thickBot="1" x14ac:dyDescent="0.3">
      <c r="A39" s="7" t="s">
        <v>42</v>
      </c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3"/>
      <c r="R39" s="9"/>
    </row>
    <row r="40" spans="1:18" ht="15.75" thickTop="1" x14ac:dyDescent="0.25">
      <c r="A40" s="8" t="s">
        <v>35</v>
      </c>
      <c r="B40" s="3"/>
      <c r="C40" s="10">
        <v>2626.4</v>
      </c>
      <c r="D40" s="10">
        <v>0</v>
      </c>
      <c r="E40" s="10">
        <v>0</v>
      </c>
      <c r="F40" s="10">
        <v>78.790000000000006</v>
      </c>
      <c r="G40" s="10">
        <f>880+176+465.64</f>
        <v>1521.6399999999999</v>
      </c>
      <c r="H40" s="10">
        <v>0</v>
      </c>
      <c r="I40" s="10">
        <v>0</v>
      </c>
      <c r="J40" s="10">
        <f>SUM(C40:I40)</f>
        <v>4226.83</v>
      </c>
      <c r="K40" s="10">
        <v>294.92</v>
      </c>
      <c r="L40" s="10">
        <v>21.95</v>
      </c>
      <c r="M40" s="10">
        <f>1+465.64+1050.56</f>
        <v>1517.1999999999998</v>
      </c>
      <c r="N40" s="10">
        <v>24.08</v>
      </c>
      <c r="O40" s="10">
        <v>0</v>
      </c>
      <c r="P40" s="10">
        <f>SUM(K40:O40)</f>
        <v>1858.1499999999996</v>
      </c>
      <c r="Q40" s="12">
        <f>J40-P40</f>
        <v>2368.6800000000003</v>
      </c>
      <c r="R40" s="9"/>
    </row>
    <row r="41" spans="1:18" ht="15.75" thickBot="1" x14ac:dyDescent="0.3">
      <c r="A41" s="7" t="s">
        <v>36</v>
      </c>
      <c r="B41" s="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3"/>
      <c r="R41" s="9"/>
    </row>
    <row r="42" spans="1:18" ht="15.75" thickTop="1" x14ac:dyDescent="0.25">
      <c r="A42" s="8" t="s">
        <v>37</v>
      </c>
      <c r="B42" s="3"/>
      <c r="C42" s="10">
        <v>4933.82</v>
      </c>
      <c r="D42" s="10">
        <v>0</v>
      </c>
      <c r="E42" s="10">
        <v>0</v>
      </c>
      <c r="F42" s="10">
        <v>148.01</v>
      </c>
      <c r="G42" s="10">
        <f>880+176+564.01</f>
        <v>1620.01</v>
      </c>
      <c r="H42" s="10">
        <v>0</v>
      </c>
      <c r="I42" s="10">
        <v>1750</v>
      </c>
      <c r="J42" s="10">
        <f>SUM(C42:I42)</f>
        <v>8451.84</v>
      </c>
      <c r="K42" s="10">
        <v>557.46</v>
      </c>
      <c r="L42" s="10">
        <v>378.71</v>
      </c>
      <c r="M42" s="10">
        <f>1+564.01</f>
        <v>565.01</v>
      </c>
      <c r="N42" s="10">
        <v>13.98</v>
      </c>
      <c r="O42" s="10">
        <v>1750</v>
      </c>
      <c r="P42" s="10">
        <f>SUM(K42:O42)</f>
        <v>3265.16</v>
      </c>
      <c r="Q42" s="12">
        <f>J42-P42</f>
        <v>5186.68</v>
      </c>
      <c r="R42" s="9"/>
    </row>
    <row r="43" spans="1:18" ht="15.75" thickBot="1" x14ac:dyDescent="0.3">
      <c r="A43" s="7" t="s">
        <v>38</v>
      </c>
      <c r="B43" s="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3"/>
      <c r="R43" s="9"/>
    </row>
    <row r="44" spans="1:18" ht="15.75" thickTop="1" x14ac:dyDescent="0.25">
      <c r="A44" s="8" t="s">
        <v>66</v>
      </c>
      <c r="B44" s="3"/>
      <c r="C44" s="10">
        <v>14658.93</v>
      </c>
      <c r="D44" s="10">
        <v>0</v>
      </c>
      <c r="E44" s="10">
        <v>0</v>
      </c>
      <c r="F44" s="10">
        <v>0</v>
      </c>
      <c r="G44" s="10">
        <v>440</v>
      </c>
      <c r="H44" s="10">
        <v>0</v>
      </c>
      <c r="I44" s="10">
        <v>1750</v>
      </c>
      <c r="J44" s="10">
        <f>SUM(C44:I44)</f>
        <v>16848.93</v>
      </c>
      <c r="K44" s="10">
        <v>570.88</v>
      </c>
      <c r="L44" s="10">
        <v>3004.85</v>
      </c>
      <c r="M44" s="10">
        <f>1+1784.89</f>
        <v>1785.89</v>
      </c>
      <c r="N44" s="10">
        <v>0</v>
      </c>
      <c r="O44" s="10">
        <v>1750</v>
      </c>
      <c r="P44" s="10">
        <f>SUM(K44:O44)</f>
        <v>7111.62</v>
      </c>
      <c r="Q44" s="12">
        <f>J44-P44</f>
        <v>9737.3100000000013</v>
      </c>
      <c r="R44" s="9"/>
    </row>
    <row r="45" spans="1:18" ht="15.75" thickBot="1" x14ac:dyDescent="0.3">
      <c r="A45" s="7" t="s">
        <v>19</v>
      </c>
      <c r="B45" s="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3"/>
      <c r="R45" s="9"/>
    </row>
    <row r="46" spans="1:18" ht="15.75" thickTop="1" x14ac:dyDescent="0.25">
      <c r="A46" s="8" t="s">
        <v>39</v>
      </c>
      <c r="B46" s="3"/>
      <c r="C46" s="10">
        <v>3838.44</v>
      </c>
      <c r="D46" s="10">
        <v>0</v>
      </c>
      <c r="E46" s="10">
        <v>0</v>
      </c>
      <c r="F46" s="10">
        <v>115.15</v>
      </c>
      <c r="G46" s="10">
        <f>880+168+465.64</f>
        <v>1513.6399999999999</v>
      </c>
      <c r="H46" s="10">
        <v>2000</v>
      </c>
      <c r="I46" s="10">
        <v>5000</v>
      </c>
      <c r="J46" s="10">
        <f>SUM(C46:I46)</f>
        <v>12467.23</v>
      </c>
      <c r="K46" s="10">
        <v>570.88</v>
      </c>
      <c r="L46" s="10">
        <v>609.83000000000004</v>
      </c>
      <c r="M46" s="10">
        <f>1+465.64</f>
        <v>466.64</v>
      </c>
      <c r="N46" s="10">
        <v>3.84</v>
      </c>
      <c r="O46" s="10">
        <v>5000</v>
      </c>
      <c r="P46" s="10">
        <f>SUM(K46:O46)</f>
        <v>6651.19</v>
      </c>
      <c r="Q46" s="12">
        <f>J46-P46</f>
        <v>5816.04</v>
      </c>
      <c r="R46" s="9"/>
    </row>
    <row r="47" spans="1:18" ht="15.75" thickBot="1" x14ac:dyDescent="0.3">
      <c r="A47" s="7" t="s">
        <v>40</v>
      </c>
      <c r="B47" s="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3"/>
      <c r="R47" s="9"/>
    </row>
    <row r="48" spans="1:18" ht="15.75" thickTop="1" x14ac:dyDescent="0.25">
      <c r="A48" s="8" t="s">
        <v>41</v>
      </c>
      <c r="B48" s="3"/>
      <c r="C48" s="10">
        <v>4219.12</v>
      </c>
      <c r="D48" s="10">
        <v>0</v>
      </c>
      <c r="E48" s="10">
        <v>0</v>
      </c>
      <c r="F48" s="10">
        <v>379.72</v>
      </c>
      <c r="G48" s="10">
        <f>880+184+550.44</f>
        <v>1614.44</v>
      </c>
      <c r="H48" s="10">
        <v>250</v>
      </c>
      <c r="I48" s="10">
        <v>0</v>
      </c>
      <c r="J48" s="10">
        <f>SUM(C48:I48)</f>
        <v>6463.2800000000007</v>
      </c>
      <c r="K48" s="10">
        <v>533.37</v>
      </c>
      <c r="L48" s="10">
        <v>334.85</v>
      </c>
      <c r="M48" s="10">
        <f>1+550.44</f>
        <v>551.44000000000005</v>
      </c>
      <c r="N48" s="10">
        <v>0</v>
      </c>
      <c r="O48" s="10">
        <v>0</v>
      </c>
      <c r="P48" s="10">
        <f>SUM(K48:O48)</f>
        <v>1419.66</v>
      </c>
      <c r="Q48" s="12">
        <f>J48-P48</f>
        <v>5043.6200000000008</v>
      </c>
      <c r="R48" s="9"/>
    </row>
    <row r="49" spans="1:18" ht="15.75" thickBot="1" x14ac:dyDescent="0.3">
      <c r="A49" s="7" t="s">
        <v>61</v>
      </c>
      <c r="B49" s="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3"/>
      <c r="R49" s="9"/>
    </row>
    <row r="50" spans="1:18" ht="15.75" thickTop="1" x14ac:dyDescent="0.25">
      <c r="A50" s="8" t="s">
        <v>43</v>
      </c>
      <c r="B50" s="3"/>
      <c r="C50" s="10">
        <v>1916.36</v>
      </c>
      <c r="D50" s="10">
        <v>0</v>
      </c>
      <c r="E50" s="10">
        <v>0</v>
      </c>
      <c r="F50" s="10">
        <v>38.33</v>
      </c>
      <c r="G50" s="10">
        <f>880+176+328.17</f>
        <v>1384.17</v>
      </c>
      <c r="H50" s="10">
        <v>550</v>
      </c>
      <c r="I50" s="10">
        <v>0</v>
      </c>
      <c r="J50" s="10">
        <f>SUM(C50:I50)</f>
        <v>3888.8599999999997</v>
      </c>
      <c r="K50" s="10">
        <v>225.42</v>
      </c>
      <c r="L50" s="10">
        <v>28.15</v>
      </c>
      <c r="M50" s="10">
        <f>1+328.17+350</f>
        <v>679.17000000000007</v>
      </c>
      <c r="N50" s="10">
        <v>0</v>
      </c>
      <c r="O50" s="10">
        <v>0</v>
      </c>
      <c r="P50" s="10">
        <f>SUM(K50:O50)</f>
        <v>932.74</v>
      </c>
      <c r="Q50" s="12">
        <f>J50-P50</f>
        <v>2956.12</v>
      </c>
      <c r="R50" s="9"/>
    </row>
    <row r="51" spans="1:18" ht="15.75" thickBot="1" x14ac:dyDescent="0.3">
      <c r="A51" s="7" t="s">
        <v>44</v>
      </c>
      <c r="B51" s="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3"/>
      <c r="R51" s="9"/>
    </row>
    <row r="52" spans="1:18" ht="15.75" thickTop="1" x14ac:dyDescent="0.25">
      <c r="A52" s="8" t="s">
        <v>65</v>
      </c>
      <c r="B52" s="3"/>
      <c r="C52" s="10">
        <v>2819.03</v>
      </c>
      <c r="D52" s="10">
        <v>0</v>
      </c>
      <c r="E52" s="10">
        <v>0</v>
      </c>
      <c r="F52" s="10">
        <v>0</v>
      </c>
      <c r="G52" s="10">
        <f>880+176+328.17</f>
        <v>1384.17</v>
      </c>
      <c r="H52" s="10">
        <v>0</v>
      </c>
      <c r="I52" s="10">
        <v>0</v>
      </c>
      <c r="J52" s="10">
        <f>SUM(C52:I52)</f>
        <v>4203.2000000000007</v>
      </c>
      <c r="K52" s="10">
        <v>310.08999999999997</v>
      </c>
      <c r="L52" s="10">
        <v>45.37</v>
      </c>
      <c r="M52" s="10">
        <f>1+328.17</f>
        <v>329.17</v>
      </c>
      <c r="N52" s="10">
        <v>0</v>
      </c>
      <c r="O52" s="10">
        <v>0</v>
      </c>
      <c r="P52" s="10">
        <f>SUM(K52:O52)</f>
        <v>684.63</v>
      </c>
      <c r="Q52" s="12">
        <f>J52-P52</f>
        <v>3518.5700000000006</v>
      </c>
      <c r="R52" s="9"/>
    </row>
    <row r="53" spans="1:18" ht="15.75" thickBot="1" x14ac:dyDescent="0.3">
      <c r="A53" s="7" t="s">
        <v>34</v>
      </c>
      <c r="B53" s="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3"/>
      <c r="R53" s="9"/>
    </row>
    <row r="54" spans="1:18" ht="15.75" thickTop="1" x14ac:dyDescent="0.25">
      <c r="A54" s="8" t="s">
        <v>45</v>
      </c>
      <c r="B54" s="3"/>
      <c r="C54" s="10">
        <v>8223.66</v>
      </c>
      <c r="D54" s="10">
        <v>0</v>
      </c>
      <c r="E54" s="10">
        <v>0</v>
      </c>
      <c r="F54" s="10">
        <v>0</v>
      </c>
      <c r="G54" s="10">
        <f>880+176+328.17</f>
        <v>1384.17</v>
      </c>
      <c r="H54" s="10">
        <v>200</v>
      </c>
      <c r="I54" s="10">
        <v>0</v>
      </c>
      <c r="J54" s="10">
        <f>SUM(C54:I54)</f>
        <v>9807.83</v>
      </c>
      <c r="K54" s="10">
        <v>570.88</v>
      </c>
      <c r="L54" s="10">
        <v>1290.1500000000001</v>
      </c>
      <c r="M54" s="10">
        <f>1+328.17</f>
        <v>329.17</v>
      </c>
      <c r="N54" s="10">
        <v>0</v>
      </c>
      <c r="O54" s="10">
        <v>0</v>
      </c>
      <c r="P54" s="10">
        <f>SUM(K54:O54)</f>
        <v>2190.2000000000003</v>
      </c>
      <c r="Q54" s="12">
        <f>J54-P54</f>
        <v>7617.6299999999992</v>
      </c>
      <c r="R54" s="9"/>
    </row>
    <row r="55" spans="1:18" ht="15.75" thickBot="1" x14ac:dyDescent="0.3">
      <c r="A55" s="7" t="s">
        <v>15</v>
      </c>
      <c r="B55" s="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3"/>
      <c r="R55" s="9"/>
    </row>
    <row r="56" spans="1:18" ht="15.75" thickTop="1" x14ac:dyDescent="0.25">
      <c r="A56" s="8" t="s">
        <v>46</v>
      </c>
      <c r="B56" s="3"/>
      <c r="C56" s="10">
        <v>1916.36</v>
      </c>
      <c r="D56" s="10">
        <v>0</v>
      </c>
      <c r="E56" s="10">
        <v>0</v>
      </c>
      <c r="F56" s="10">
        <v>57.49</v>
      </c>
      <c r="G56" s="10">
        <f>880+112+550.44</f>
        <v>1542.44</v>
      </c>
      <c r="H56" s="10">
        <v>0</v>
      </c>
      <c r="I56" s="10">
        <v>0</v>
      </c>
      <c r="J56" s="10">
        <f>SUM(C56:I56)</f>
        <v>3516.29</v>
      </c>
      <c r="K56" s="10">
        <v>175.68</v>
      </c>
      <c r="L56" s="10">
        <v>0</v>
      </c>
      <c r="M56" s="10">
        <f>1+550.44+766.54</f>
        <v>1317.98</v>
      </c>
      <c r="N56" s="10">
        <v>21.88</v>
      </c>
      <c r="O56" s="10">
        <v>0</v>
      </c>
      <c r="P56" s="10">
        <f>SUM(K56:O56)</f>
        <v>1515.5400000000002</v>
      </c>
      <c r="Q56" s="12">
        <f>J56-P56</f>
        <v>2000.7499999999998</v>
      </c>
      <c r="R56" s="9"/>
    </row>
    <row r="57" spans="1:18" ht="15.75" thickBot="1" x14ac:dyDescent="0.3">
      <c r="A57" s="7" t="s">
        <v>47</v>
      </c>
      <c r="B57" s="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3"/>
      <c r="R57" s="9"/>
    </row>
    <row r="58" spans="1:18" ht="15.75" thickTop="1" x14ac:dyDescent="0.25">
      <c r="A58" s="8" t="s">
        <v>48</v>
      </c>
      <c r="B58" s="3"/>
      <c r="C58" s="10">
        <v>6504.62</v>
      </c>
      <c r="D58" s="10">
        <v>0</v>
      </c>
      <c r="E58" s="10">
        <v>0</v>
      </c>
      <c r="F58" s="10">
        <v>1365.97</v>
      </c>
      <c r="G58" s="10">
        <f>880+308+465.64</f>
        <v>1653.6399999999999</v>
      </c>
      <c r="H58" s="10">
        <v>200</v>
      </c>
      <c r="I58" s="10">
        <v>0</v>
      </c>
      <c r="J58" s="10">
        <f>SUM(C58:I58)</f>
        <v>9724.23</v>
      </c>
      <c r="K58" s="10">
        <v>570.88</v>
      </c>
      <c r="L58" s="10">
        <v>1042.28</v>
      </c>
      <c r="M58" s="10">
        <f>1+465.64+2601.85</f>
        <v>3068.49</v>
      </c>
      <c r="N58" s="10">
        <v>169.12</v>
      </c>
      <c r="O58" s="10">
        <v>0</v>
      </c>
      <c r="P58" s="10">
        <f>SUM(K58:O58)</f>
        <v>4850.7699999999995</v>
      </c>
      <c r="Q58" s="12">
        <f>J58-P58</f>
        <v>4873.46</v>
      </c>
      <c r="R58" s="9"/>
    </row>
    <row r="59" spans="1:18" ht="15.75" thickBot="1" x14ac:dyDescent="0.3">
      <c r="A59" s="7" t="s">
        <v>49</v>
      </c>
      <c r="B59" s="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3"/>
      <c r="R59" s="9"/>
    </row>
    <row r="60" spans="1:18" ht="15.75" thickTop="1" x14ac:dyDescent="0.25">
      <c r="A60" s="8" t="s">
        <v>62</v>
      </c>
      <c r="B60" s="3"/>
      <c r="C60" s="10">
        <v>14658.93</v>
      </c>
      <c r="D60" s="10">
        <v>0</v>
      </c>
      <c r="E60" s="10">
        <v>0</v>
      </c>
      <c r="F60" s="10">
        <v>0</v>
      </c>
      <c r="G60" s="10">
        <f>880+184</f>
        <v>1064</v>
      </c>
      <c r="H60" s="10">
        <v>0</v>
      </c>
      <c r="I60" s="10">
        <v>0</v>
      </c>
      <c r="J60" s="10">
        <f>SUM(C60:I60)</f>
        <v>15722.93</v>
      </c>
      <c r="K60" s="10">
        <v>570.88</v>
      </c>
      <c r="L60" s="10">
        <v>2900.58</v>
      </c>
      <c r="M60" s="10">
        <f>1+5000</f>
        <v>5001</v>
      </c>
      <c r="N60" s="10">
        <v>0</v>
      </c>
      <c r="O60" s="10">
        <v>0</v>
      </c>
      <c r="P60" s="10">
        <f>SUM(K60:O60)</f>
        <v>8472.4599999999991</v>
      </c>
      <c r="Q60" s="12">
        <f>J60-P60</f>
        <v>7250.4700000000012</v>
      </c>
      <c r="R60" s="9"/>
    </row>
    <row r="61" spans="1:18" ht="15.75" thickBot="1" x14ac:dyDescent="0.3">
      <c r="A61" s="7" t="s">
        <v>19</v>
      </c>
      <c r="B61" s="4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3"/>
      <c r="R61" s="9"/>
    </row>
    <row r="62" spans="1:18" ht="15.75" thickTop="1" x14ac:dyDescent="0.25">
      <c r="A62" s="8" t="s">
        <v>50</v>
      </c>
      <c r="B62" s="3"/>
      <c r="C62" s="10">
        <v>0</v>
      </c>
      <c r="D62" s="10">
        <v>0</v>
      </c>
      <c r="E62" s="10">
        <v>0</v>
      </c>
      <c r="F62" s="10">
        <v>0</v>
      </c>
      <c r="G62" s="10">
        <v>401.1</v>
      </c>
      <c r="H62" s="10">
        <v>0</v>
      </c>
      <c r="I62" s="10">
        <v>0</v>
      </c>
      <c r="J62" s="10">
        <f>SUM(C62:I62)</f>
        <v>401.1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>SUM(K62:O62)</f>
        <v>0</v>
      </c>
      <c r="Q62" s="12">
        <f>J62-P62</f>
        <v>401.1</v>
      </c>
      <c r="R62" s="9"/>
    </row>
    <row r="63" spans="1:18" ht="15.75" thickBot="1" x14ac:dyDescent="0.3">
      <c r="A63" s="7" t="s">
        <v>47</v>
      </c>
      <c r="B63" s="4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3"/>
      <c r="R63" s="9"/>
    </row>
    <row r="64" spans="1:18" ht="15.75" thickTop="1" x14ac:dyDescent="0.25"/>
  </sheetData>
  <mergeCells count="451">
    <mergeCell ref="A4:B5"/>
    <mergeCell ref="C4:C5"/>
    <mergeCell ref="D4:D5"/>
    <mergeCell ref="E4:E5"/>
    <mergeCell ref="F4:F5"/>
    <mergeCell ref="G4:G5"/>
    <mergeCell ref="M4:M5"/>
    <mergeCell ref="N4:N5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L34:L35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MARCOS ROBERTO</cp:lastModifiedBy>
  <cp:lastPrinted>2016-08-19T18:54:33Z</cp:lastPrinted>
  <dcterms:created xsi:type="dcterms:W3CDTF">2016-08-09T16:47:07Z</dcterms:created>
  <dcterms:modified xsi:type="dcterms:W3CDTF">2016-08-23T13:24:46Z</dcterms:modified>
</cp:coreProperties>
</file>